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<sst xmlns="http://schemas.openxmlformats.org/spreadsheetml/2006/main" count="162" uniqueCount="112">
  <si>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</si>
  <si>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</si>
  <si>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</si>
  <si>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</si>
  <si>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</si>
  <si>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</si>
  <si>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</si>
  <si>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</si>
  <si>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</si>
  <si>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</si>
  <si>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</si>
  <si>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</si>
  <si>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</si>
  <si>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</si>
  <si>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</si>
  <si>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</si>
  <si>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</si>
  <si>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</si>
  <si>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</si>
  <si>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</si>
  <si>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</si>
  <si>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</si>
  <si>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</si>
  <si>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</si>
  <si>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</si>
  <si>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</si>
  <si>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</si>
  <si>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</si>
  <si>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</si>
  <si>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</si>
  <si>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</si>
  <si>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</si>
  <si>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</si>
  <si>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</si>
  <si>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</si>
  <si>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</si>
  <si>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</si>
  <si>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</si>
  <si>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</si>
  <si>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</si>
  <si>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</si>
  <si>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</si>
  <si>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</si>
  <si>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</si>
  <si>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</si>
  <si>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</si>
  <si>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</si>
  <si>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</si>
  <si>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</si>
  <si>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</si>
  <si>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</si>
  <si>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</si>
  <si>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</si>
  <si>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</si>
  <si>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</si>
  <si>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</si>
  <si>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</si>
  <si>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</si>
  <si>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</si>
  <si>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</si>
  <si>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</si>
  <si>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</si>
  <si>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</si>
  <si>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</si>
  <si>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</si>
  <si>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</si>
  <si>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</si>
  <si>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</si>
  <si>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</si>
  <si>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</si>
  <si>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</si>
  <si>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</si>
  <si>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</si>
  <si>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</si>
  <si>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</si>
  <si>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</si>
  <si>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</si>
  <si>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</si>
  <si>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</si>
  <si>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</si>
  <si>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</si>
  <si>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</si>
  <si>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</si>
  <si>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</si>
  <si>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</si>
  <si>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</si>
  <si>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</si>
  <si>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</si>
  <si>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</si>
  <si>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Субвенція державному бюджету на виконання програм соціально-економічного та культурного розвитку регіонів (250344)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</si>
  <si>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</si>
  <si>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</si>
  <si>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</si>
  <si>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</si>
  <si>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</si>
  <si>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</si>
  <si>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</si>
  <si>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</si>
  <si>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</si>
  <si>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</si>
  <si>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</si>
  <si>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</si>
  <si>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</si>
  <si>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</si>
  <si>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</si>
  <si>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</si>
  <si>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</si>
  <si>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</si>
  <si>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План на 2 місяці, тис.грн.</t>
  </si>
  <si>
    <t>Відсоток виконання плану 2 місяців</t>
  </si>
  <si>
    <t>Відхилення від плану 2 місяців, тис.грн.</t>
  </si>
  <si>
    <t>Аналіз використання коштів міського бюджету за 2017 рік станом на 24.02.2017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</si>
</sst>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6253.000000000001</c:v>
                </c:pt>
                <c:pt idx="1">
                  <c:v>5975.900000000001</c:v>
                </c:pt>
                <c:pt idx="2">
                  <c:v>53.6</c:v>
                </c:pt>
                <c:pt idx="3">
                  <c:v>223.50000000000037</c:v>
                </c:pt>
              </c:numCache>
            </c:numRef>
          </c:val>
          <c:shape val="box"/>
        </c:ser>
        <c:shape val="box"/>
        <c:axId val="22513557"/>
        <c:axId val="1295422"/>
      </c:bar3DChart>
      <c:catAx>
        <c:axId val="22513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95422"/>
        <c:crosses val="autoZero"/>
        <c:auto val="1"/>
        <c:lblOffset val="100"/>
        <c:tickLblSkip val="1"/>
        <c:noMultiLvlLbl val="0"/>
      </c:catAx>
      <c:valAx>
        <c:axId val="1295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135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39925.100000000006</c:v>
                </c:pt>
                <c:pt idx="1">
                  <c:v>17971.3</c:v>
                </c:pt>
                <c:pt idx="2">
                  <c:v>36966.7</c:v>
                </c:pt>
                <c:pt idx="4">
                  <c:v>1199.7</c:v>
                </c:pt>
                <c:pt idx="5">
                  <c:v>676.7</c:v>
                </c:pt>
                <c:pt idx="6">
                  <c:v>1048.6000000000001</c:v>
                </c:pt>
                <c:pt idx="7">
                  <c:v>33.400000000008504</c:v>
                </c:pt>
              </c:numCache>
            </c:numRef>
          </c:val>
          <c:shape val="box"/>
        </c:ser>
        <c:shape val="box"/>
        <c:axId val="11658799"/>
        <c:axId val="37820328"/>
      </c:bar3DChart>
      <c:catAx>
        <c:axId val="1165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20328"/>
        <c:crosses val="autoZero"/>
        <c:auto val="1"/>
        <c:lblOffset val="100"/>
        <c:tickLblSkip val="1"/>
        <c:noMultiLvlLbl val="0"/>
      </c:catAx>
      <c:valAx>
        <c:axId val="37820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58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24710.4</c:v>
                </c:pt>
                <c:pt idx="1">
                  <c:v>16758.499999999996</c:v>
                </c:pt>
                <c:pt idx="2">
                  <c:v>24710.4</c:v>
                </c:pt>
              </c:numCache>
            </c:numRef>
          </c:val>
          <c:shape val="box"/>
        </c:ser>
        <c:shape val="box"/>
        <c:axId val="4838633"/>
        <c:axId val="43547698"/>
      </c:bar3DChart>
      <c:catAx>
        <c:axId val="483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47698"/>
        <c:crosses val="autoZero"/>
        <c:auto val="1"/>
        <c:lblOffset val="100"/>
        <c:tickLblSkip val="1"/>
        <c:noMultiLvlLbl val="0"/>
      </c:catAx>
      <c:valAx>
        <c:axId val="43547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3919.3</c:v>
                </c:pt>
                <c:pt idx="1">
                  <c:v>3576.9</c:v>
                </c:pt>
                <c:pt idx="2">
                  <c:v>6.6000000000000005</c:v>
                </c:pt>
                <c:pt idx="4">
                  <c:v>5.1</c:v>
                </c:pt>
                <c:pt idx="5">
                  <c:v>330.70000000000005</c:v>
                </c:pt>
              </c:numCache>
            </c:numRef>
          </c:val>
          <c:shape val="box"/>
        </c:ser>
        <c:shape val="box"/>
        <c:axId val="56384963"/>
        <c:axId val="37702620"/>
      </c:bar3DChart>
      <c:catAx>
        <c:axId val="563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02620"/>
        <c:crosses val="autoZero"/>
        <c:auto val="1"/>
        <c:lblOffset val="100"/>
        <c:tickLblSkip val="1"/>
        <c:noMultiLvlLbl val="0"/>
      </c:catAx>
      <c:valAx>
        <c:axId val="37702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4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1458.1000000000001</c:v>
                </c:pt>
                <c:pt idx="1">
                  <c:v>1131.1999999999998</c:v>
                </c:pt>
                <c:pt idx="3">
                  <c:v>1.9</c:v>
                </c:pt>
                <c:pt idx="4">
                  <c:v>0.5</c:v>
                </c:pt>
                <c:pt idx="6">
                  <c:v>324.50000000000034</c:v>
                </c:pt>
              </c:numCache>
            </c:numRef>
          </c:val>
          <c:shape val="box"/>
        </c:ser>
        <c:shape val="box"/>
        <c:axId val="3779261"/>
        <c:axId val="34013350"/>
      </c:bar3DChart>
      <c:catAx>
        <c:axId val="377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13350"/>
        <c:crosses val="autoZero"/>
        <c:auto val="1"/>
        <c:lblOffset val="100"/>
        <c:tickLblSkip val="2"/>
        <c:noMultiLvlLbl val="0"/>
      </c:catAx>
      <c:valAx>
        <c:axId val="34013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92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37684695"/>
        <c:axId val="3617936"/>
      </c:bar3DChart>
      <c:catAx>
        <c:axId val="3768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7936"/>
        <c:crosses val="autoZero"/>
        <c:auto val="1"/>
        <c:lblOffset val="100"/>
        <c:tickLblSkip val="1"/>
        <c:noMultiLvlLbl val="0"/>
      </c:catAx>
      <c:valAx>
        <c:axId val="3617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846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4915.2</c:v>
                </c:pt>
              </c:numCache>
            </c:numRef>
          </c:val>
          <c:shape val="box"/>
        </c:ser>
        <c:shape val="box"/>
        <c:axId val="32561425"/>
        <c:axId val="24617370"/>
      </c:bar3DChart>
      <c:catAx>
        <c:axId val="3256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617370"/>
        <c:crosses val="autoZero"/>
        <c:auto val="1"/>
        <c:lblOffset val="100"/>
        <c:tickLblSkip val="1"/>
        <c:noMultiLvlLbl val="0"/>
      </c:catAx>
      <c:valAx>
        <c:axId val="24617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1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39925.100000000006</c:v>
                </c:pt>
                <c:pt idx="1">
                  <c:v>24710.4</c:v>
                </c:pt>
                <c:pt idx="2">
                  <c:v>3919.3</c:v>
                </c:pt>
                <c:pt idx="3">
                  <c:v>1458.1000000000001</c:v>
                </c:pt>
                <c:pt idx="4">
                  <c:v>201.9</c:v>
                </c:pt>
                <c:pt idx="5">
                  <c:v>6253.000000000001</c:v>
                </c:pt>
                <c:pt idx="6">
                  <c:v>4915.2</c:v>
                </c:pt>
              </c:numCache>
            </c:numRef>
          </c:val>
          <c:shape val="box"/>
        </c:ser>
        <c:shape val="box"/>
        <c:axId val="20229739"/>
        <c:axId val="47849924"/>
      </c:bar3DChart>
      <c:catAx>
        <c:axId val="2022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49924"/>
        <c:crosses val="autoZero"/>
        <c:auto val="1"/>
        <c:lblOffset val="100"/>
        <c:tickLblSkip val="1"/>
        <c:noMultiLvlLbl val="0"/>
      </c:catAx>
      <c:valAx>
        <c:axId val="47849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29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29184.599999999995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48682.2</c:v>
                </c:pt>
                <c:pt idx="1">
                  <c:v>1926.5</c:v>
                </c:pt>
                <c:pt idx="2">
                  <c:v>1201.6000000000001</c:v>
                </c:pt>
                <c:pt idx="3">
                  <c:v>1424.6000000000001</c:v>
                </c:pt>
                <c:pt idx="4">
                  <c:v>0</c:v>
                </c:pt>
                <c:pt idx="5">
                  <c:v>53889.5</c:v>
                </c:pt>
              </c:numCache>
            </c:numRef>
          </c:val>
          <c:shape val="box"/>
        </c:ser>
        <c:shape val="box"/>
        <c:axId val="27996133"/>
        <c:axId val="50638606"/>
      </c:bar3DChart>
      <c:catAx>
        <c:axId val="2799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38606"/>
        <c:crosses val="autoZero"/>
        <c:auto val="1"/>
        <c:lblOffset val="100"/>
        <c:tickLblSkip val="1"/>
        <c:noMultiLvlLbl val="0"/>
      </c:catAx>
      <c:valAx>
        <c:axId val="50638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961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="80" zoomScaleNormal="80" zoomScalePageLayoutView="0" workbookViewId="0" topLeftCell="A1">
      <pane xSplit="1" ySplit="5" topLeftCell="B1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5" sqref="D14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92</v>
      </c>
      <c r="D3" s="130" t="s">
        <v>23</v>
      </c>
      <c r="E3" s="130" t="s">
        <v>22</v>
      </c>
      <c r="F3" s="130" t="s">
        <v>109</v>
      </c>
      <c r="G3" s="130" t="s">
        <v>94</v>
      </c>
      <c r="H3" s="130" t="s">
        <v>110</v>
      </c>
      <c r="I3" s="130" t="s">
        <v>93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121064.5-3139.9+50</f>
        <v>117974.6</v>
      </c>
      <c r="C6" s="46">
        <f>625865.1-190.4-316.9+47.1+50</f>
        <v>625454.8999999999</v>
      </c>
      <c r="D6" s="47">
        <f>13522.8+199.8+351+3.4+1.2+14658+9356.3+1168.4+403.4+43.4+23+194.4+502.3+461.6+16471.9+946.1+4113.7+1906.3+1145.7+13071.9</f>
        <v>78544.6</v>
      </c>
      <c r="E6" s="3">
        <f>D6/D150*100</f>
        <v>43.03132271108849</v>
      </c>
      <c r="F6" s="3">
        <f>D6/B6*100</f>
        <v>66.57755143903857</v>
      </c>
      <c r="G6" s="3">
        <f aca="true" t="shared" si="0" ref="G6:G43">D6/C6*100</f>
        <v>12.557995788345414</v>
      </c>
      <c r="H6" s="47">
        <f>B6-D6</f>
        <v>39430</v>
      </c>
      <c r="I6" s="47">
        <f aca="true" t="shared" si="1" ref="I6:I43">C6-D6</f>
        <v>546910.2999999999</v>
      </c>
    </row>
    <row r="7" spans="1:9" s="37" customFormat="1" ht="18.75">
      <c r="A7" s="104" t="s">
        <v>83</v>
      </c>
      <c r="B7" s="97">
        <f>40594.7-3139.9</f>
        <v>37454.799999999996</v>
      </c>
      <c r="C7" s="94">
        <f>243287.4+47.1</f>
        <v>243334.5</v>
      </c>
      <c r="D7" s="105">
        <f>6699.4+11261.7+10.2+8073.8+9792.3</f>
        <v>35837.399999999994</v>
      </c>
      <c r="E7" s="95">
        <f>D7/D6*100</f>
        <v>45.62681584730203</v>
      </c>
      <c r="F7" s="95">
        <f>D7/B7*100</f>
        <v>95.68172837660326</v>
      </c>
      <c r="G7" s="95">
        <f>D7/C7*100</f>
        <v>14.727628018221829</v>
      </c>
      <c r="H7" s="105">
        <f>B7-D7</f>
        <v>1617.4000000000015</v>
      </c>
      <c r="I7" s="105">
        <f t="shared" si="1"/>
        <v>207497.1</v>
      </c>
    </row>
    <row r="8" spans="1:9" ht="18">
      <c r="A8" s="23" t="s">
        <v>3</v>
      </c>
      <c r="B8" s="42">
        <f>82016.2-3139.9</f>
        <v>78876.3</v>
      </c>
      <c r="C8" s="43">
        <f>487771.7+47.1</f>
        <v>487818.8</v>
      </c>
      <c r="D8" s="44">
        <f>12945+14658+9353.4+10.2+0.1+7+16015+13071.9</f>
        <v>66060.59999999999</v>
      </c>
      <c r="E8" s="1">
        <f>D8/D6*100</f>
        <v>84.10584559600531</v>
      </c>
      <c r="F8" s="1">
        <f>D8/B8*100</f>
        <v>83.7521536887506</v>
      </c>
      <c r="G8" s="1">
        <f t="shared" si="0"/>
        <v>13.542036510277994</v>
      </c>
      <c r="H8" s="44">
        <f>B8-D8</f>
        <v>12815.700000000012</v>
      </c>
      <c r="I8" s="44">
        <f t="shared" si="1"/>
        <v>421758.2</v>
      </c>
    </row>
    <row r="9" spans="1:9" ht="18">
      <c r="A9" s="23" t="s">
        <v>2</v>
      </c>
      <c r="B9" s="42">
        <v>5.5</v>
      </c>
      <c r="C9" s="43">
        <v>92.5</v>
      </c>
      <c r="D9" s="44"/>
      <c r="E9" s="12">
        <f>D9/D6*100</f>
        <v>0</v>
      </c>
      <c r="F9" s="120">
        <f>D9/B9*100</f>
        <v>0</v>
      </c>
      <c r="G9" s="1">
        <f t="shared" si="0"/>
        <v>0</v>
      </c>
      <c r="H9" s="44">
        <f aca="true" t="shared" si="2" ref="H9:H43">B9-D9</f>
        <v>5.5</v>
      </c>
      <c r="I9" s="44">
        <f t="shared" si="1"/>
        <v>92.5</v>
      </c>
    </row>
    <row r="10" spans="1:9" ht="18">
      <c r="A10" s="23" t="s">
        <v>1</v>
      </c>
      <c r="B10" s="42">
        <v>5324.9</v>
      </c>
      <c r="C10" s="43">
        <f>27822.4-190.4-170.5</f>
        <v>27461.5</v>
      </c>
      <c r="D10" s="48">
        <f>577.8+199.8+74.7+2.9+214.2+13.4+43.4+23+50.5+482.2+461.6+80.5+165.5+636+126.3</f>
        <v>3151.8</v>
      </c>
      <c r="E10" s="1">
        <f>D10/D6*100</f>
        <v>4.012751990588787</v>
      </c>
      <c r="F10" s="1">
        <f aca="true" t="shared" si="3" ref="F10:F41">D10/B10*100</f>
        <v>59.18984394073129</v>
      </c>
      <c r="G10" s="1">
        <f t="shared" si="0"/>
        <v>11.477158931595142</v>
      </c>
      <c r="H10" s="44">
        <f t="shared" si="2"/>
        <v>2173.0999999999995</v>
      </c>
      <c r="I10" s="44">
        <f t="shared" si="1"/>
        <v>24309.7</v>
      </c>
    </row>
    <row r="11" spans="1:9" ht="18">
      <c r="A11" s="23" t="s">
        <v>0</v>
      </c>
      <c r="B11" s="42">
        <f>29742.3-19.9</f>
        <v>29722.399999999998</v>
      </c>
      <c r="C11" s="43">
        <v>80900.5</v>
      </c>
      <c r="D11" s="49">
        <f>143.9+390+0.1+142.7+13.1+169.2+704.4+3378.9+1906.3+468.5</f>
        <v>7317.1</v>
      </c>
      <c r="E11" s="1">
        <f>D11/D6*100</f>
        <v>9.315853667852405</v>
      </c>
      <c r="F11" s="1">
        <f t="shared" si="3"/>
        <v>24.61813312518505</v>
      </c>
      <c r="G11" s="1">
        <f t="shared" si="0"/>
        <v>9.044567091674342</v>
      </c>
      <c r="H11" s="44">
        <f t="shared" si="2"/>
        <v>22405.299999999996</v>
      </c>
      <c r="I11" s="44">
        <f t="shared" si="1"/>
        <v>73583.4</v>
      </c>
    </row>
    <row r="12" spans="1:9" ht="18">
      <c r="A12" s="23" t="s">
        <v>14</v>
      </c>
      <c r="B12" s="42">
        <v>2578.5</v>
      </c>
      <c r="C12" s="43">
        <v>14045.4</v>
      </c>
      <c r="D12" s="44">
        <f>276.3+3.4+1.2+766.5+1.2+207.2+488.1</f>
        <v>1743.9</v>
      </c>
      <c r="E12" s="1">
        <f>D12/D6*100</f>
        <v>2.2202672112404924</v>
      </c>
      <c r="F12" s="1">
        <f t="shared" si="3"/>
        <v>67.63234438627109</v>
      </c>
      <c r="G12" s="1">
        <f t="shared" si="0"/>
        <v>12.416164722969798</v>
      </c>
      <c r="H12" s="44">
        <f t="shared" si="2"/>
        <v>834.5999999999999</v>
      </c>
      <c r="I12" s="44">
        <f t="shared" si="1"/>
        <v>12301.5</v>
      </c>
    </row>
    <row r="13" spans="1:9" ht="18.75" thickBot="1">
      <c r="A13" s="23" t="s">
        <v>28</v>
      </c>
      <c r="B13" s="43">
        <f>B6-B8-B9-B10-B11-B12</f>
        <v>1467.0000000000036</v>
      </c>
      <c r="C13" s="43">
        <f>C6-C8-C9-C10-C11-C12</f>
        <v>15136.199999999919</v>
      </c>
      <c r="D13" s="43">
        <f>D6-D8-D9-D10-D11-D12</f>
        <v>271.2000000000148</v>
      </c>
      <c r="E13" s="1">
        <f>D13/D6*100</f>
        <v>0.3452815343130079</v>
      </c>
      <c r="F13" s="1">
        <f t="shared" si="3"/>
        <v>18.48670756646313</v>
      </c>
      <c r="G13" s="1">
        <f t="shared" si="0"/>
        <v>1.7917310817775682</v>
      </c>
      <c r="H13" s="44">
        <f t="shared" si="2"/>
        <v>1195.7999999999888</v>
      </c>
      <c r="I13" s="44">
        <f t="shared" si="1"/>
        <v>14864.999999999904</v>
      </c>
    </row>
    <row r="14" spans="1:9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f>65601.9-23.4+600</f>
        <v>66178.5</v>
      </c>
      <c r="C18" s="46">
        <f>329127.1+600</f>
        <v>329727.1</v>
      </c>
      <c r="D18" s="47">
        <f>7750.2+16091.8+509.8+21.4+337.2+206.3+9326.4+708.9+873+242.1+3327.1+2.3</f>
        <v>39396.5</v>
      </c>
      <c r="E18" s="3">
        <f>D18/D150*100</f>
        <v>21.583705374874885</v>
      </c>
      <c r="F18" s="3">
        <f>D18/B18*100</f>
        <v>59.53066328188158</v>
      </c>
      <c r="G18" s="3">
        <f t="shared" si="0"/>
        <v>11.948214144363629</v>
      </c>
      <c r="H18" s="47">
        <f>B18-D18</f>
        <v>26782</v>
      </c>
      <c r="I18" s="47">
        <f t="shared" si="1"/>
        <v>290330.6</v>
      </c>
    </row>
    <row r="19" spans="1:9" s="37" customFormat="1" ht="18.75">
      <c r="A19" s="104" t="s">
        <v>84</v>
      </c>
      <c r="B19" s="97">
        <f>39708.5-23.4</f>
        <v>39685.1</v>
      </c>
      <c r="C19" s="94">
        <v>238249.5</v>
      </c>
      <c r="D19" s="105">
        <f>7750.2+9045.4-324.4+287.3+8839.2+63.1+167.7+672.4+2.3</f>
        <v>26503.199999999997</v>
      </c>
      <c r="E19" s="95">
        <f>D19/D18*100</f>
        <v>67.27298110238218</v>
      </c>
      <c r="F19" s="95">
        <f t="shared" si="3"/>
        <v>66.78375511212016</v>
      </c>
      <c r="G19" s="95">
        <f t="shared" si="0"/>
        <v>11.124136671850307</v>
      </c>
      <c r="H19" s="105">
        <f t="shared" si="2"/>
        <v>13181.900000000001</v>
      </c>
      <c r="I19" s="105">
        <f t="shared" si="1"/>
        <v>211746.3</v>
      </c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66178.5</v>
      </c>
      <c r="C25" s="43">
        <f>C18</f>
        <v>329727.1</v>
      </c>
      <c r="D25" s="43">
        <f>D18</f>
        <v>39396.5</v>
      </c>
      <c r="E25" s="1">
        <f>D25/D18*100</f>
        <v>100</v>
      </c>
      <c r="F25" s="1">
        <f t="shared" si="3"/>
        <v>59.53066328188158</v>
      </c>
      <c r="G25" s="1">
        <f t="shared" si="0"/>
        <v>11.948214144363629</v>
      </c>
      <c r="H25" s="44">
        <f t="shared" si="2"/>
        <v>26782</v>
      </c>
      <c r="I25" s="44">
        <f t="shared" si="1"/>
        <v>290330.6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9874.6</v>
      </c>
      <c r="C33" s="46">
        <v>67303.3</v>
      </c>
      <c r="D33" s="50">
        <f>1839.2+34.8+165.7+1873.2+1.3+5.1+223.7+77.9+1834.7+29.7+171.2+8.4+128.8+239.3+79.6</f>
        <v>6712.599999999999</v>
      </c>
      <c r="E33" s="3">
        <f>D33/D150*100</f>
        <v>3.677554622856983</v>
      </c>
      <c r="F33" s="3">
        <f>D33/B33*100</f>
        <v>67.97844975999027</v>
      </c>
      <c r="G33" s="3">
        <f t="shared" si="0"/>
        <v>9.97365656661709</v>
      </c>
      <c r="H33" s="47">
        <f t="shared" si="2"/>
        <v>3162.000000000001</v>
      </c>
      <c r="I33" s="47">
        <f t="shared" si="1"/>
        <v>60590.700000000004</v>
      </c>
    </row>
    <row r="34" spans="1:9" ht="18">
      <c r="A34" s="23" t="s">
        <v>3</v>
      </c>
      <c r="B34" s="42">
        <v>7367</v>
      </c>
      <c r="C34" s="43">
        <v>55535.9</v>
      </c>
      <c r="D34" s="44">
        <f>1743.2+1833.7+1830.2</f>
        <v>5407.1</v>
      </c>
      <c r="E34" s="1">
        <f>D34/D33*100</f>
        <v>80.55150016387094</v>
      </c>
      <c r="F34" s="1">
        <f t="shared" si="3"/>
        <v>73.39622641509435</v>
      </c>
      <c r="G34" s="1">
        <f t="shared" si="0"/>
        <v>9.736224676290473</v>
      </c>
      <c r="H34" s="44">
        <f t="shared" si="2"/>
        <v>1959.8999999999996</v>
      </c>
      <c r="I34" s="44">
        <f t="shared" si="1"/>
        <v>50128.8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819.5</v>
      </c>
      <c r="C36" s="43">
        <v>2945.3</v>
      </c>
      <c r="D36" s="44">
        <f>5.4+1.2+41.8+16.1+2.9+29.7+160.9+0.8+93.4</f>
        <v>352.20000000000005</v>
      </c>
      <c r="E36" s="1">
        <f>D36/D33*100</f>
        <v>5.246849208950334</v>
      </c>
      <c r="F36" s="1">
        <f t="shared" si="3"/>
        <v>42.97742525930446</v>
      </c>
      <c r="G36" s="1">
        <f t="shared" si="0"/>
        <v>11.958034835161104</v>
      </c>
      <c r="H36" s="44">
        <f t="shared" si="2"/>
        <v>467.29999999999995</v>
      </c>
      <c r="I36" s="44">
        <f t="shared" si="1"/>
        <v>2593.1000000000004</v>
      </c>
    </row>
    <row r="37" spans="1:9" s="37" customFormat="1" ht="18.75">
      <c r="A37" s="18" t="s">
        <v>7</v>
      </c>
      <c r="B37" s="51">
        <v>94.5</v>
      </c>
      <c r="C37" s="52">
        <v>856.1</v>
      </c>
      <c r="D37" s="53"/>
      <c r="E37" s="17">
        <f>D37/D33*100</f>
        <v>0</v>
      </c>
      <c r="F37" s="17">
        <f t="shared" si="3"/>
        <v>0</v>
      </c>
      <c r="G37" s="17">
        <f t="shared" si="0"/>
        <v>0</v>
      </c>
      <c r="H37" s="53">
        <f t="shared" si="2"/>
        <v>94.5</v>
      </c>
      <c r="I37" s="53">
        <f t="shared" si="1"/>
        <v>856.1</v>
      </c>
    </row>
    <row r="38" spans="1:9" ht="18">
      <c r="A38" s="23" t="s">
        <v>14</v>
      </c>
      <c r="B38" s="42">
        <v>10.2</v>
      </c>
      <c r="C38" s="43">
        <v>80.8</v>
      </c>
      <c r="D38" s="43">
        <f>5.1+5.1</f>
        <v>10.2</v>
      </c>
      <c r="E38" s="1">
        <f>D38/D33*100</f>
        <v>0.15195304353007777</v>
      </c>
      <c r="F38" s="1">
        <f t="shared" si="3"/>
        <v>100</v>
      </c>
      <c r="G38" s="1">
        <f t="shared" si="0"/>
        <v>12.623762376237623</v>
      </c>
      <c r="H38" s="44">
        <f t="shared" si="2"/>
        <v>0</v>
      </c>
      <c r="I38" s="44">
        <f t="shared" si="1"/>
        <v>70.6</v>
      </c>
    </row>
    <row r="39" spans="1:9" ht="18.75" thickBot="1">
      <c r="A39" s="23" t="s">
        <v>28</v>
      </c>
      <c r="B39" s="42">
        <f>B33-B34-B36-B37-B35-B38</f>
        <v>1583.4000000000003</v>
      </c>
      <c r="C39" s="42">
        <f>C33-C34-C36-C37-C35-C38</f>
        <v>7885.200000000002</v>
      </c>
      <c r="D39" s="42">
        <f>D33-D34-D36-D37-D35-D38</f>
        <v>943.099999999999</v>
      </c>
      <c r="E39" s="1">
        <f>D39/D33*100</f>
        <v>14.049697583648646</v>
      </c>
      <c r="F39" s="1">
        <f t="shared" si="3"/>
        <v>59.56170266515086</v>
      </c>
      <c r="G39" s="1">
        <f t="shared" si="0"/>
        <v>11.960381474154095</v>
      </c>
      <c r="H39" s="44">
        <f>B39-D39</f>
        <v>640.3000000000013</v>
      </c>
      <c r="I39" s="44">
        <f t="shared" si="1"/>
        <v>6942.100000000002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304.6</v>
      </c>
      <c r="C43" s="46">
        <v>1548.6</v>
      </c>
      <c r="D43" s="47">
        <f>29.1+22+50.2+8.1+0.6</f>
        <v>110</v>
      </c>
      <c r="E43" s="3">
        <f>D43/D150*100</f>
        <v>0.0602644293588577</v>
      </c>
      <c r="F43" s="3">
        <f>D43/B43*100</f>
        <v>36.11293499671701</v>
      </c>
      <c r="G43" s="3">
        <f t="shared" si="0"/>
        <v>7.103189978044686</v>
      </c>
      <c r="H43" s="47">
        <f t="shared" si="2"/>
        <v>194.60000000000002</v>
      </c>
      <c r="I43" s="47">
        <f t="shared" si="1"/>
        <v>1438.6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2030.7</v>
      </c>
      <c r="C45" s="46">
        <v>11788</v>
      </c>
      <c r="D45" s="47">
        <f>102.9+155.5+3.1+3.7+452.3+6+17.2+314.1+59.3+95.2+2.2</f>
        <v>1211.5000000000002</v>
      </c>
      <c r="E45" s="3">
        <f>D45/D150*100</f>
        <v>0.66373051062051</v>
      </c>
      <c r="F45" s="3">
        <f>D45/B45*100</f>
        <v>59.659230807110866</v>
      </c>
      <c r="G45" s="3">
        <f aca="true" t="shared" si="4" ref="G45:G76">D45/C45*100</f>
        <v>10.27740074652189</v>
      </c>
      <c r="H45" s="47">
        <f>B45-D45</f>
        <v>819.1999999999998</v>
      </c>
      <c r="I45" s="47">
        <f aca="true" t="shared" si="5" ref="I45:I77">C45-D45</f>
        <v>10576.5</v>
      </c>
    </row>
    <row r="46" spans="1:9" ht="18">
      <c r="A46" s="23" t="s">
        <v>3</v>
      </c>
      <c r="B46" s="42">
        <v>1662.8</v>
      </c>
      <c r="C46" s="43">
        <v>10529.7</v>
      </c>
      <c r="D46" s="44">
        <f>102.7+154.9+447.3+314.1</f>
        <v>1019.0000000000001</v>
      </c>
      <c r="E46" s="1">
        <f>D46/D45*100</f>
        <v>84.11060668592653</v>
      </c>
      <c r="F46" s="1">
        <f aca="true" t="shared" si="6" ref="F46:F74">D46/B46*100</f>
        <v>61.28217464517682</v>
      </c>
      <c r="G46" s="1">
        <f t="shared" si="4"/>
        <v>9.677388719526672</v>
      </c>
      <c r="H46" s="44">
        <f aca="true" t="shared" si="7" ref="H46:H74">B46-D46</f>
        <v>643.7999999999998</v>
      </c>
      <c r="I46" s="44">
        <f t="shared" si="5"/>
        <v>9510.7</v>
      </c>
    </row>
    <row r="47" spans="1:9" ht="18">
      <c r="A47" s="23" t="s">
        <v>2</v>
      </c>
      <c r="B47" s="42">
        <v>0.5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0.5</v>
      </c>
      <c r="I47" s="44">
        <f t="shared" si="5"/>
        <v>1.4</v>
      </c>
    </row>
    <row r="48" spans="1:9" ht="18">
      <c r="A48" s="23" t="s">
        <v>1</v>
      </c>
      <c r="B48" s="42">
        <v>8.2</v>
      </c>
      <c r="C48" s="43">
        <v>73.4</v>
      </c>
      <c r="D48" s="44">
        <f>5.4</f>
        <v>5.4</v>
      </c>
      <c r="E48" s="1">
        <f>D48/D45*100</f>
        <v>0.4457284358233594</v>
      </c>
      <c r="F48" s="1">
        <f t="shared" si="6"/>
        <v>65.85365853658539</v>
      </c>
      <c r="G48" s="1">
        <f t="shared" si="4"/>
        <v>7.3569482288828345</v>
      </c>
      <c r="H48" s="44">
        <f t="shared" si="7"/>
        <v>2.799999999999999</v>
      </c>
      <c r="I48" s="44">
        <f t="shared" si="5"/>
        <v>68</v>
      </c>
    </row>
    <row r="49" spans="1:9" ht="18">
      <c r="A49" s="23" t="s">
        <v>0</v>
      </c>
      <c r="B49" s="42">
        <v>317.1</v>
      </c>
      <c r="C49" s="43">
        <v>865.1</v>
      </c>
      <c r="D49" s="44">
        <f>3.1+3.5+1+0.7+59.3+95.2+2.2</f>
        <v>165</v>
      </c>
      <c r="E49" s="1">
        <f>D49/D45*100</f>
        <v>13.619479983491537</v>
      </c>
      <c r="F49" s="1">
        <f t="shared" si="6"/>
        <v>52.03405865657521</v>
      </c>
      <c r="G49" s="1">
        <f t="shared" si="4"/>
        <v>19.072939544561322</v>
      </c>
      <c r="H49" s="44">
        <f t="shared" si="7"/>
        <v>152.10000000000002</v>
      </c>
      <c r="I49" s="44">
        <f t="shared" si="5"/>
        <v>700.1</v>
      </c>
    </row>
    <row r="50" spans="1:9" ht="18.75" thickBot="1">
      <c r="A50" s="23" t="s">
        <v>28</v>
      </c>
      <c r="B50" s="43">
        <f>B45-B46-B49-B48-B47</f>
        <v>42.100000000000065</v>
      </c>
      <c r="C50" s="43">
        <f>C45-C46-C49-C48-C47</f>
        <v>318.3999999999993</v>
      </c>
      <c r="D50" s="43">
        <f>D45-D46-D49-D48-D47</f>
        <v>22.100000000000115</v>
      </c>
      <c r="E50" s="1">
        <f>D50/D45*100</f>
        <v>1.824184894758573</v>
      </c>
      <c r="F50" s="1">
        <f t="shared" si="6"/>
        <v>52.49406175771991</v>
      </c>
      <c r="G50" s="1">
        <f t="shared" si="4"/>
        <v>6.940954773869398</v>
      </c>
      <c r="H50" s="44">
        <f t="shared" si="7"/>
        <v>19.99999999999995</v>
      </c>
      <c r="I50" s="44">
        <f t="shared" si="5"/>
        <v>296.29999999999916</v>
      </c>
    </row>
    <row r="51" spans="1:9" ht="18.75" thickBot="1">
      <c r="A51" s="22" t="s">
        <v>4</v>
      </c>
      <c r="B51" s="45">
        <v>3975.9</v>
      </c>
      <c r="C51" s="46">
        <v>23558.7</v>
      </c>
      <c r="D51" s="47">
        <f>475.9+7.8+935.8+30.7-0.1+8+35.8+34+6+454.4+67.8+74.7+41.8+81.6+68</f>
        <v>2322.2000000000003</v>
      </c>
      <c r="E51" s="3">
        <f>D51/D150*100</f>
        <v>1.2722368896103577</v>
      </c>
      <c r="F51" s="3">
        <f>D51/B51*100</f>
        <v>58.40690158203174</v>
      </c>
      <c r="G51" s="3">
        <f t="shared" si="4"/>
        <v>9.85708039917313</v>
      </c>
      <c r="H51" s="47">
        <f>B51-D51</f>
        <v>1653.6999999999998</v>
      </c>
      <c r="I51" s="47">
        <f t="shared" si="5"/>
        <v>21236.5</v>
      </c>
    </row>
    <row r="52" spans="1:9" ht="18">
      <c r="A52" s="23" t="s">
        <v>3</v>
      </c>
      <c r="B52" s="42">
        <v>2388</v>
      </c>
      <c r="C52" s="43">
        <v>16189.8</v>
      </c>
      <c r="D52" s="44">
        <f>392.4+738.8+389.6</f>
        <v>1520.7999999999997</v>
      </c>
      <c r="E52" s="1">
        <f>D52/D51*100</f>
        <v>65.48962191025748</v>
      </c>
      <c r="F52" s="1">
        <f t="shared" si="6"/>
        <v>63.685092127303164</v>
      </c>
      <c r="G52" s="1">
        <f t="shared" si="4"/>
        <v>9.393568790225943</v>
      </c>
      <c r="H52" s="44">
        <f t="shared" si="7"/>
        <v>867.2000000000003</v>
      </c>
      <c r="I52" s="44">
        <f t="shared" si="5"/>
        <v>14669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125.5</v>
      </c>
      <c r="C54" s="43">
        <v>810.2</v>
      </c>
      <c r="D54" s="44">
        <f>1.9+1.9+0.5+7.4+2.1+1.2</f>
        <v>14.999999999999998</v>
      </c>
      <c r="E54" s="1">
        <f>D54/D51*100</f>
        <v>0.6459391955903883</v>
      </c>
      <c r="F54" s="1">
        <f t="shared" si="6"/>
        <v>11.95219123505976</v>
      </c>
      <c r="G54" s="1">
        <f t="shared" si="4"/>
        <v>1.8513947173537395</v>
      </c>
      <c r="H54" s="44">
        <f t="shared" si="7"/>
        <v>110.5</v>
      </c>
      <c r="I54" s="44">
        <f t="shared" si="5"/>
        <v>795.2</v>
      </c>
    </row>
    <row r="55" spans="1:9" ht="18">
      <c r="A55" s="23" t="s">
        <v>0</v>
      </c>
      <c r="B55" s="42">
        <v>326.8</v>
      </c>
      <c r="C55" s="43">
        <v>1048.5</v>
      </c>
      <c r="D55" s="44">
        <f>0.5+0.6+7.5+73.9+2.1+51.2+20.8</f>
        <v>156.60000000000002</v>
      </c>
      <c r="E55" s="1">
        <f>D55/D51*100</f>
        <v>6.743605201963655</v>
      </c>
      <c r="F55" s="1">
        <f t="shared" si="6"/>
        <v>47.91921664626684</v>
      </c>
      <c r="G55" s="1">
        <f t="shared" si="4"/>
        <v>14.93562231759657</v>
      </c>
      <c r="H55" s="44">
        <f t="shared" si="7"/>
        <v>170.2</v>
      </c>
      <c r="I55" s="44">
        <f t="shared" si="5"/>
        <v>891.9</v>
      </c>
    </row>
    <row r="56" spans="1:9" ht="18">
      <c r="A56" s="23" t="s">
        <v>14</v>
      </c>
      <c r="B56" s="42">
        <v>86.5</v>
      </c>
      <c r="C56" s="43">
        <v>518.9</v>
      </c>
      <c r="D56" s="43">
        <f>34+46</f>
        <v>80</v>
      </c>
      <c r="E56" s="1">
        <f>D56/D51*100</f>
        <v>3.4450090431487377</v>
      </c>
      <c r="F56" s="1">
        <f>D56/B56*100</f>
        <v>92.48554913294798</v>
      </c>
      <c r="G56" s="1">
        <f>D56/C56*100</f>
        <v>15.417228753131626</v>
      </c>
      <c r="H56" s="44">
        <f t="shared" si="7"/>
        <v>6.5</v>
      </c>
      <c r="I56" s="44">
        <f t="shared" si="5"/>
        <v>438.9</v>
      </c>
    </row>
    <row r="57" spans="1:9" ht="18.75" thickBot="1">
      <c r="A57" s="23" t="s">
        <v>28</v>
      </c>
      <c r="B57" s="43">
        <f>B51-B52-B55-B54-B53-B56</f>
        <v>1049.1000000000001</v>
      </c>
      <c r="C57" s="43">
        <f>C51-C52-C55-C54-C53-C56</f>
        <v>4978.300000000002</v>
      </c>
      <c r="D57" s="43">
        <f>D51-D52-D55-D54-D53-D56</f>
        <v>549.8000000000005</v>
      </c>
      <c r="E57" s="1">
        <f>D57/D51*100</f>
        <v>23.675824649039722</v>
      </c>
      <c r="F57" s="1">
        <f t="shared" si="6"/>
        <v>52.40682489753126</v>
      </c>
      <c r="G57" s="1">
        <f t="shared" si="4"/>
        <v>11.043930659060328</v>
      </c>
      <c r="H57" s="44">
        <f>B57-D57</f>
        <v>499.2999999999996</v>
      </c>
      <c r="I57" s="44">
        <f>C57-D57</f>
        <v>4428.500000000002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630+200</f>
        <v>830</v>
      </c>
      <c r="C59" s="46">
        <f>7844.6+200</f>
        <v>8044.6</v>
      </c>
      <c r="D59" s="47">
        <f>55.6+0.2+146.1+0.4+60.8+0.4</f>
        <v>263.5</v>
      </c>
      <c r="E59" s="3">
        <f>D59/D150*100</f>
        <v>0.14436070123690004</v>
      </c>
      <c r="F59" s="3">
        <f>D59/B59*100</f>
        <v>31.746987951807228</v>
      </c>
      <c r="G59" s="3">
        <f t="shared" si="4"/>
        <v>3.2754891479999007</v>
      </c>
      <c r="H59" s="47">
        <f>B59-D59</f>
        <v>566.5</v>
      </c>
      <c r="I59" s="47">
        <f t="shared" si="5"/>
        <v>7781.1</v>
      </c>
    </row>
    <row r="60" spans="1:9" ht="18">
      <c r="A60" s="23" t="s">
        <v>3</v>
      </c>
      <c r="B60" s="42">
        <v>470.8</v>
      </c>
      <c r="C60" s="43">
        <v>2900.3</v>
      </c>
      <c r="D60" s="44">
        <f>55.6+146.1+60.8</f>
        <v>262.5</v>
      </c>
      <c r="E60" s="1">
        <f>D60/D59*100</f>
        <v>99.62049335863378</v>
      </c>
      <c r="F60" s="1">
        <f t="shared" si="6"/>
        <v>55.75615972812235</v>
      </c>
      <c r="G60" s="1">
        <f t="shared" si="4"/>
        <v>9.050787849532806</v>
      </c>
      <c r="H60" s="44">
        <f t="shared" si="7"/>
        <v>208.3</v>
      </c>
      <c r="I60" s="44">
        <f t="shared" si="5"/>
        <v>2637.8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154</v>
      </c>
      <c r="C62" s="43">
        <v>451.8</v>
      </c>
      <c r="D62" s="44">
        <f>0.4</f>
        <v>0.4</v>
      </c>
      <c r="E62" s="1">
        <f>D62/D59*100</f>
        <v>0.15180265654648956</v>
      </c>
      <c r="F62" s="1">
        <f t="shared" si="6"/>
        <v>0.2597402597402597</v>
      </c>
      <c r="G62" s="1">
        <f t="shared" si="4"/>
        <v>0.08853474988933156</v>
      </c>
      <c r="H62" s="44">
        <f t="shared" si="7"/>
        <v>153.6</v>
      </c>
      <c r="I62" s="44">
        <f t="shared" si="5"/>
        <v>451.40000000000003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205.2</v>
      </c>
      <c r="C64" s="43">
        <f>C59-C60-C62-C63-C61</f>
        <v>648.3000000000001</v>
      </c>
      <c r="D64" s="43">
        <f>D59-D60-D62-D63-D61</f>
        <v>0.6</v>
      </c>
      <c r="E64" s="1">
        <f>D64/D59*100</f>
        <v>0.22770398481973433</v>
      </c>
      <c r="F64" s="1">
        <f t="shared" si="6"/>
        <v>0.29239766081871343</v>
      </c>
      <c r="G64" s="1">
        <f t="shared" si="4"/>
        <v>0.0925497454881999</v>
      </c>
      <c r="H64" s="44">
        <f t="shared" si="7"/>
        <v>204.6</v>
      </c>
      <c r="I64" s="44">
        <f t="shared" si="5"/>
        <v>647.7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169.70000000000002</v>
      </c>
      <c r="C69" s="46">
        <f>C70+C71</f>
        <v>477.7</v>
      </c>
      <c r="D69" s="47">
        <f>SUM(D70:D71)</f>
        <v>19.2</v>
      </c>
      <c r="E69" s="35">
        <f>D69/D150*100</f>
        <v>0.010518882215364251</v>
      </c>
      <c r="F69" s="3">
        <f>D69/B69*100</f>
        <v>11.314083677077194</v>
      </c>
      <c r="G69" s="3">
        <f t="shared" si="4"/>
        <v>4.019258949131254</v>
      </c>
      <c r="H69" s="47">
        <f>B69-D69</f>
        <v>150.50000000000003</v>
      </c>
      <c r="I69" s="47">
        <f t="shared" si="5"/>
        <v>458.5</v>
      </c>
    </row>
    <row r="70" spans="1:9" ht="18">
      <c r="A70" s="23" t="s">
        <v>8</v>
      </c>
      <c r="B70" s="42">
        <f>137.8+9.5</f>
        <v>147.3</v>
      </c>
      <c r="C70" s="43">
        <v>203.8</v>
      </c>
      <c r="D70" s="44">
        <f>19.2</f>
        <v>19.2</v>
      </c>
      <c r="E70" s="1">
        <f>D70/D69*100</f>
        <v>100</v>
      </c>
      <c r="F70" s="1">
        <f t="shared" si="6"/>
        <v>13.034623217922606</v>
      </c>
      <c r="G70" s="1">
        <f t="shared" si="4"/>
        <v>9.421000981354268</v>
      </c>
      <c r="H70" s="44">
        <f t="shared" si="7"/>
        <v>128.10000000000002</v>
      </c>
      <c r="I70" s="44">
        <f t="shared" si="5"/>
        <v>184.60000000000002</v>
      </c>
    </row>
    <row r="71" spans="1:9" ht="18.75" thickBot="1">
      <c r="A71" s="23" t="s">
        <v>9</v>
      </c>
      <c r="B71" s="42">
        <f>31.9-9.5</f>
        <v>22.4</v>
      </c>
      <c r="C71" s="43">
        <v>273.9</v>
      </c>
      <c r="D71" s="44"/>
      <c r="E71" s="1">
        <f>D71/D70*100</f>
        <v>0</v>
      </c>
      <c r="F71" s="1">
        <f t="shared" si="6"/>
        <v>0</v>
      </c>
      <c r="G71" s="1">
        <f t="shared" si="4"/>
        <v>0</v>
      </c>
      <c r="H71" s="44">
        <f t="shared" si="7"/>
        <v>22.4</v>
      </c>
      <c r="I71" s="44">
        <f t="shared" si="5"/>
        <v>273.9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1666.7</v>
      </c>
      <c r="C77" s="62">
        <v>10000</v>
      </c>
      <c r="D77" s="63"/>
      <c r="E77" s="41"/>
      <c r="F77" s="41"/>
      <c r="G77" s="41"/>
      <c r="H77" s="63">
        <f>B77-D77</f>
        <v>1666.7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27560.3</v>
      </c>
      <c r="C90" s="46">
        <v>157960</v>
      </c>
      <c r="D90" s="47">
        <f>4.8+1016.5+864.1+250.6+6.8+2.9+10.6+5.5+0.6+1.5+29.3+1648.7+1618.2+708.6+2+22.6+23.3+36.4+60.9+22+815.8+1474.1+412+20.4+54.9+18.9+21.9+0.1+15.6+311.1</f>
        <v>9480.7</v>
      </c>
      <c r="E90" s="3">
        <f>D90/D150*100</f>
        <v>5.194081594750202</v>
      </c>
      <c r="F90" s="3">
        <f aca="true" t="shared" si="10" ref="F90:F96">D90/B90*100</f>
        <v>34.39984325279478</v>
      </c>
      <c r="G90" s="3">
        <f t="shared" si="8"/>
        <v>6.001962522157508</v>
      </c>
      <c r="H90" s="47">
        <f aca="true" t="shared" si="11" ref="H90:H96">B90-D90</f>
        <v>18079.6</v>
      </c>
      <c r="I90" s="47">
        <f t="shared" si="9"/>
        <v>148479.3</v>
      </c>
    </row>
    <row r="91" spans="1:9" ht="18">
      <c r="A91" s="23" t="s">
        <v>3</v>
      </c>
      <c r="B91" s="42">
        <f>25301.7-10</f>
        <v>25291.7</v>
      </c>
      <c r="C91" s="43">
        <v>148246.2</v>
      </c>
      <c r="D91" s="44">
        <f>1016.5+861.2+216.8+0.1+15.6+1633.8+1584.8+610.3+2+34.8+60.4+677.1+1434.4+388.2+14.5+46.2+0.1+225.9</f>
        <v>8822.700000000003</v>
      </c>
      <c r="E91" s="1">
        <f>D91/D90*100</f>
        <v>93.05958420791715</v>
      </c>
      <c r="F91" s="1">
        <f t="shared" si="10"/>
        <v>34.88377610045985</v>
      </c>
      <c r="G91" s="1">
        <f t="shared" si="8"/>
        <v>5.95138357677971</v>
      </c>
      <c r="H91" s="44">
        <f t="shared" si="11"/>
        <v>16469</v>
      </c>
      <c r="I91" s="44">
        <f t="shared" si="9"/>
        <v>139423.5</v>
      </c>
    </row>
    <row r="92" spans="1:9" ht="18">
      <c r="A92" s="23" t="s">
        <v>26</v>
      </c>
      <c r="B92" s="42">
        <v>811.7</v>
      </c>
      <c r="C92" s="43">
        <v>2620.6</v>
      </c>
      <c r="D92" s="44">
        <f>48.5+5.1+5+1.3</f>
        <v>59.9</v>
      </c>
      <c r="E92" s="1">
        <f>D92/D90*100</f>
        <v>0.6318098874555675</v>
      </c>
      <c r="F92" s="1">
        <f t="shared" si="10"/>
        <v>7.379573734138228</v>
      </c>
      <c r="G92" s="1">
        <f t="shared" si="8"/>
        <v>2.285736090971533</v>
      </c>
      <c r="H92" s="44">
        <f t="shared" si="11"/>
        <v>751.8000000000001</v>
      </c>
      <c r="I92" s="44">
        <f t="shared" si="9"/>
        <v>2560.7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1456.8999999999985</v>
      </c>
      <c r="C94" s="43">
        <f>C90-C91-C92-C93</f>
        <v>7093.199999999988</v>
      </c>
      <c r="D94" s="43">
        <f>D90-D91-D92-D93</f>
        <v>598.0999999999982</v>
      </c>
      <c r="E94" s="1">
        <f>D94/D90*100</f>
        <v>6.308605904627276</v>
      </c>
      <c r="F94" s="1">
        <f t="shared" si="10"/>
        <v>41.05292058480327</v>
      </c>
      <c r="G94" s="1">
        <f>D94/C94*100</f>
        <v>8.43201939886087</v>
      </c>
      <c r="H94" s="44">
        <f t="shared" si="11"/>
        <v>858.8000000000003</v>
      </c>
      <c r="I94" s="44">
        <f>C94-D94</f>
        <v>6495.099999999989</v>
      </c>
    </row>
    <row r="95" spans="1:9" ht="18.75">
      <c r="A95" s="108" t="s">
        <v>12</v>
      </c>
      <c r="B95" s="111">
        <f>10866.3+870</f>
        <v>11736.3</v>
      </c>
      <c r="C95" s="113">
        <v>59880.5</v>
      </c>
      <c r="D95" s="112">
        <f>158.8+434.4+321.9+32+1220.1+1621.7+82.6+1043.7+489.5+1835.3+427.5+91.3+11.2+190+524+63.3+11.3+68.3+293.9+953</f>
        <v>9873.799999999997</v>
      </c>
      <c r="E95" s="107">
        <f>D95/D150*100</f>
        <v>5.409444750940809</v>
      </c>
      <c r="F95" s="110">
        <f t="shared" si="10"/>
        <v>84.13043293031022</v>
      </c>
      <c r="G95" s="106">
        <f>D95/C95*100</f>
        <v>16.489174272091912</v>
      </c>
      <c r="H95" s="112">
        <f t="shared" si="11"/>
        <v>1862.5000000000018</v>
      </c>
      <c r="I95" s="122">
        <f>C95-D95</f>
        <v>50006.700000000004</v>
      </c>
    </row>
    <row r="96" spans="1:9" ht="18.75" thickBot="1">
      <c r="A96" s="109" t="s">
        <v>85</v>
      </c>
      <c r="B96" s="114">
        <f>2118.9</f>
        <v>2118.9</v>
      </c>
      <c r="C96" s="115">
        <f>10660.3-133.5</f>
        <v>10526.8</v>
      </c>
      <c r="D96" s="116">
        <f>69.1+1043.7+68.3</f>
        <v>1181.1</v>
      </c>
      <c r="E96" s="117">
        <f>D96/D95*100</f>
        <v>11.961959934371775</v>
      </c>
      <c r="F96" s="118">
        <f t="shared" si="10"/>
        <v>55.74118646467506</v>
      </c>
      <c r="G96" s="119">
        <f>D96/C96*100</f>
        <v>11.21993388304138</v>
      </c>
      <c r="H96" s="123">
        <f t="shared" si="11"/>
        <v>937.8000000000002</v>
      </c>
      <c r="I96" s="124">
        <f>C96-D96</f>
        <v>9345.699999999999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2305.2-58</f>
        <v>2247.2</v>
      </c>
      <c r="C102" s="92">
        <f>12999.2-348</f>
        <v>12651.2</v>
      </c>
      <c r="D102" s="79">
        <f>139.4+4+202+15.3+32.9+18.1+0.4+4+39.7+141.6+9.9+31.3+27.6+1.1+399+127.2</f>
        <v>1193.5</v>
      </c>
      <c r="E102" s="19">
        <f>D102/D150*100</f>
        <v>0.653869058543606</v>
      </c>
      <c r="F102" s="19">
        <f>D102/B102*100</f>
        <v>53.11053755784977</v>
      </c>
      <c r="G102" s="19">
        <f aca="true" t="shared" si="12" ref="G102:G148">D102/C102*100</f>
        <v>9.433887694447957</v>
      </c>
      <c r="H102" s="79">
        <f aca="true" t="shared" si="13" ref="H102:H107">B102-D102</f>
        <v>1053.6999999999998</v>
      </c>
      <c r="I102" s="79">
        <f aca="true" t="shared" si="14" ref="I102:I148">C102-D102</f>
        <v>11457.7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>
        <f>D103/D102*100</f>
        <v>0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49</v>
      </c>
      <c r="B104" s="74">
        <f>1978.6-58</f>
        <v>1920.6</v>
      </c>
      <c r="C104" s="44">
        <f>10720.8-348</f>
        <v>10372.8</v>
      </c>
      <c r="D104" s="44">
        <f>139.3+4+202+15.3-0.1+4+25.4+141.4+9.8+31.2+1.1+390.1+50</f>
        <v>1013.5</v>
      </c>
      <c r="E104" s="1">
        <f>D104/D102*100</f>
        <v>84.91830749895266</v>
      </c>
      <c r="F104" s="1">
        <f aca="true" t="shared" si="15" ref="F104:F148">D104/B104*100</f>
        <v>52.76996771842133</v>
      </c>
      <c r="G104" s="1">
        <f t="shared" si="12"/>
        <v>9.770746567946938</v>
      </c>
      <c r="H104" s="44">
        <f t="shared" si="13"/>
        <v>907.0999999999999</v>
      </c>
      <c r="I104" s="44">
        <f t="shared" si="14"/>
        <v>9359.3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326.5999999999999</v>
      </c>
      <c r="C106" s="88">
        <f>C102-C103-C104</f>
        <v>2019.300000000001</v>
      </c>
      <c r="D106" s="88">
        <f>D102-D103-D104</f>
        <v>180</v>
      </c>
      <c r="E106" s="84">
        <f>D106/D102*100</f>
        <v>15.081692501047339</v>
      </c>
      <c r="F106" s="84">
        <f t="shared" si="15"/>
        <v>55.11328842620945</v>
      </c>
      <c r="G106" s="84">
        <f t="shared" si="12"/>
        <v>8.913980092111123</v>
      </c>
      <c r="H106" s="124">
        <f>B106-D106</f>
        <v>146.5999999999999</v>
      </c>
      <c r="I106" s="124">
        <f t="shared" si="14"/>
        <v>1839.300000000001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50752.39999999999</v>
      </c>
      <c r="C107" s="81">
        <f>SUM(C108:C147)-C115-C119+C148-C139-C140-C109-C112-C122-C123-C137-C131-C129</f>
        <v>530570.5</v>
      </c>
      <c r="D107" s="81">
        <f>SUM(D108:D147)-D115-D119+D148-D139-D140-D109-D112-D122-D123-D137-D131-D129</f>
        <v>33400.799999999996</v>
      </c>
      <c r="E107" s="82">
        <f>D107/D150*100</f>
        <v>18.298910473903035</v>
      </c>
      <c r="F107" s="82">
        <f>D107/B107*100</f>
        <v>65.81127197925616</v>
      </c>
      <c r="G107" s="82">
        <f t="shared" si="12"/>
        <v>6.295261421432212</v>
      </c>
      <c r="H107" s="81">
        <f t="shared" si="13"/>
        <v>17351.59999999999</v>
      </c>
      <c r="I107" s="81">
        <f t="shared" si="14"/>
        <v>497169.7</v>
      </c>
    </row>
    <row r="108" spans="1:9" ht="37.5">
      <c r="A108" s="28" t="s">
        <v>53</v>
      </c>
      <c r="B108" s="71">
        <v>990.4</v>
      </c>
      <c r="C108" s="67">
        <v>4095.6</v>
      </c>
      <c r="D108" s="72">
        <f>12.6+3.2+110.8+149.9</f>
        <v>276.5</v>
      </c>
      <c r="E108" s="6">
        <f>D108/D107*100</f>
        <v>0.8278244832459104</v>
      </c>
      <c r="F108" s="6">
        <f t="shared" si="15"/>
        <v>27.918012924071085</v>
      </c>
      <c r="G108" s="6">
        <f t="shared" si="12"/>
        <v>6.751147573005177</v>
      </c>
      <c r="H108" s="61">
        <f aca="true" t="shared" si="16" ref="H108:H148">B108-D108</f>
        <v>713.9</v>
      </c>
      <c r="I108" s="61">
        <f t="shared" si="14"/>
        <v>3819.1</v>
      </c>
    </row>
    <row r="109" spans="1:9" ht="18">
      <c r="A109" s="23" t="s">
        <v>26</v>
      </c>
      <c r="B109" s="74">
        <v>716.9</v>
      </c>
      <c r="C109" s="44">
        <v>2633.8</v>
      </c>
      <c r="D109" s="75">
        <f>68.3+138.7</f>
        <v>207</v>
      </c>
      <c r="E109" s="1">
        <f>D109/D108*100</f>
        <v>74.86437613019892</v>
      </c>
      <c r="F109" s="1">
        <f t="shared" si="15"/>
        <v>28.874319988840842</v>
      </c>
      <c r="G109" s="1">
        <f t="shared" si="12"/>
        <v>7.859366694509832</v>
      </c>
      <c r="H109" s="44">
        <f t="shared" si="16"/>
        <v>509.9</v>
      </c>
      <c r="I109" s="44">
        <f t="shared" si="14"/>
        <v>2426.8</v>
      </c>
    </row>
    <row r="110" spans="1:9" ht="34.5" customHeight="1" hidden="1">
      <c r="A110" s="16" t="s">
        <v>80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101</v>
      </c>
      <c r="B111" s="73">
        <v>270.9</v>
      </c>
      <c r="C111" s="53">
        <v>696.7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270.9</v>
      </c>
      <c r="I111" s="61">
        <f t="shared" si="14"/>
        <v>696.7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95</v>
      </c>
      <c r="B113" s="73">
        <v>11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11</v>
      </c>
      <c r="I113" s="61">
        <f t="shared" si="14"/>
        <v>60</v>
      </c>
    </row>
    <row r="114" spans="1:9" ht="37.5">
      <c r="A114" s="16" t="s">
        <v>39</v>
      </c>
      <c r="B114" s="73">
        <v>556.2</v>
      </c>
      <c r="C114" s="61">
        <v>2915.4</v>
      </c>
      <c r="D114" s="72">
        <f>136.4+40+10+2+0.1+10.6+142</f>
        <v>341.1</v>
      </c>
      <c r="E114" s="6">
        <f>D114/D107*100</f>
        <v>1.0212330243586982</v>
      </c>
      <c r="F114" s="6">
        <f t="shared" si="15"/>
        <v>61.326860841423944</v>
      </c>
      <c r="G114" s="6">
        <f t="shared" si="12"/>
        <v>11.699938258901009</v>
      </c>
      <c r="H114" s="61">
        <f t="shared" si="16"/>
        <v>215.10000000000002</v>
      </c>
      <c r="I114" s="61">
        <f t="shared" si="14"/>
        <v>2574.3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96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19</v>
      </c>
      <c r="C117" s="61">
        <v>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19</v>
      </c>
      <c r="I117" s="61">
        <f t="shared" si="14"/>
        <v>99</v>
      </c>
    </row>
    <row r="118" spans="1:9" s="2" customFormat="1" ht="18.75">
      <c r="A118" s="16" t="s">
        <v>15</v>
      </c>
      <c r="B118" s="73">
        <v>90.4</v>
      </c>
      <c r="C118" s="53">
        <v>422.8</v>
      </c>
      <c r="D118" s="72">
        <f>39+5+6.2+39.1</f>
        <v>89.30000000000001</v>
      </c>
      <c r="E118" s="6">
        <f>D118/D107*100</f>
        <v>0.2673588656559125</v>
      </c>
      <c r="F118" s="6">
        <f t="shared" si="15"/>
        <v>98.78318584070797</v>
      </c>
      <c r="G118" s="6">
        <f t="shared" si="12"/>
        <v>21.12109744560076</v>
      </c>
      <c r="H118" s="61">
        <f t="shared" si="16"/>
        <v>1.0999999999999943</v>
      </c>
      <c r="I118" s="61">
        <f t="shared" si="14"/>
        <v>333.5</v>
      </c>
    </row>
    <row r="119" spans="1:9" s="32" customFormat="1" ht="18">
      <c r="A119" s="33" t="s">
        <v>44</v>
      </c>
      <c r="B119" s="74">
        <v>78.1</v>
      </c>
      <c r="C119" s="44">
        <v>351.4</v>
      </c>
      <c r="D119" s="75">
        <f>39+39.1</f>
        <v>78.1</v>
      </c>
      <c r="E119" s="1">
        <f>D119/D118*100</f>
        <v>87.45800671892495</v>
      </c>
      <c r="F119" s="1">
        <f t="shared" si="15"/>
        <v>100</v>
      </c>
      <c r="G119" s="1">
        <f t="shared" si="12"/>
        <v>22.225384177575414</v>
      </c>
      <c r="H119" s="44">
        <f t="shared" si="16"/>
        <v>0</v>
      </c>
      <c r="I119" s="44">
        <f t="shared" si="14"/>
        <v>273.29999999999995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102</v>
      </c>
      <c r="B121" s="73">
        <v>70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70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103</v>
      </c>
      <c r="B124" s="73">
        <v>6960.2</v>
      </c>
      <c r="C124" s="53">
        <v>33585.8</v>
      </c>
      <c r="D124" s="76">
        <f>3483.8+2635.6</f>
        <v>6119.4</v>
      </c>
      <c r="E124" s="17">
        <f>D124/D107*100</f>
        <v>18.321118057052526</v>
      </c>
      <c r="F124" s="6">
        <f t="shared" si="15"/>
        <v>87.91988735955863</v>
      </c>
      <c r="G124" s="6">
        <f t="shared" si="12"/>
        <v>18.220200203657498</v>
      </c>
      <c r="H124" s="61">
        <f t="shared" si="16"/>
        <v>840.8000000000002</v>
      </c>
      <c r="I124" s="61">
        <f t="shared" si="14"/>
        <v>27466.4</v>
      </c>
    </row>
    <row r="125" spans="1:9" s="2" customFormat="1" ht="18.75">
      <c r="A125" s="16" t="s">
        <v>98</v>
      </c>
      <c r="B125" s="73">
        <v>110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110</v>
      </c>
      <c r="I125" s="61">
        <f t="shared" si="14"/>
        <v>585</v>
      </c>
    </row>
    <row r="126" spans="1:9" s="2" customFormat="1" ht="37.5" hidden="1">
      <c r="A126" s="16" t="s">
        <v>97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391.4</v>
      </c>
      <c r="C128" s="53">
        <v>1253.3</v>
      </c>
      <c r="D128" s="76">
        <f>6.5+6.7+0.9+10.2+6.4</f>
        <v>30.699999999999996</v>
      </c>
      <c r="E128" s="17">
        <f>D128/D107*100</f>
        <v>0.09191396613254772</v>
      </c>
      <c r="F128" s="6">
        <f t="shared" si="15"/>
        <v>7.843638221768012</v>
      </c>
      <c r="G128" s="6">
        <f t="shared" si="12"/>
        <v>2.4495332322668153</v>
      </c>
      <c r="H128" s="61">
        <f t="shared" si="16"/>
        <v>360.7</v>
      </c>
      <c r="I128" s="61">
        <f t="shared" si="14"/>
        <v>1222.6</v>
      </c>
    </row>
    <row r="129" spans="1:9" s="32" customFormat="1" ht="18">
      <c r="A129" s="23" t="s">
        <v>91</v>
      </c>
      <c r="B129" s="74">
        <v>102.4</v>
      </c>
      <c r="C129" s="44">
        <v>459.6</v>
      </c>
      <c r="D129" s="75">
        <f>6.4+6.4</f>
        <v>12.8</v>
      </c>
      <c r="E129" s="1">
        <f>D129/D128*100</f>
        <v>41.69381107491857</v>
      </c>
      <c r="F129" s="1">
        <f>D129/B129*100</f>
        <v>12.5</v>
      </c>
      <c r="G129" s="1">
        <f t="shared" si="12"/>
        <v>2.78503046127067</v>
      </c>
      <c r="H129" s="44">
        <f t="shared" si="16"/>
        <v>89.60000000000001</v>
      </c>
      <c r="I129" s="44">
        <f t="shared" si="14"/>
        <v>446.8</v>
      </c>
    </row>
    <row r="130" spans="1:9" s="2" customFormat="1" ht="37.5" hidden="1">
      <c r="A130" s="16" t="s">
        <v>99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90</v>
      </c>
      <c r="B134" s="73">
        <v>18.1</v>
      </c>
      <c r="C134" s="53">
        <v>108.1</v>
      </c>
      <c r="D134" s="76"/>
      <c r="E134" s="17">
        <f>D134/D107*100</f>
        <v>0</v>
      </c>
      <c r="F134" s="6">
        <f t="shared" si="15"/>
        <v>0</v>
      </c>
      <c r="G134" s="6">
        <f t="shared" si="12"/>
        <v>0</v>
      </c>
      <c r="H134" s="61">
        <f t="shared" si="16"/>
        <v>18.1</v>
      </c>
      <c r="I134" s="61">
        <f t="shared" si="14"/>
        <v>108.1</v>
      </c>
    </row>
    <row r="135" spans="1:9" s="2" customFormat="1" ht="37.5">
      <c r="A135" s="16" t="s">
        <v>56</v>
      </c>
      <c r="B135" s="73">
        <v>20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20</v>
      </c>
      <c r="I135" s="61">
        <f t="shared" si="14"/>
        <v>626.8</v>
      </c>
    </row>
    <row r="136" spans="1:9" s="2" customFormat="1" ht="37.5">
      <c r="A136" s="16" t="s">
        <v>86</v>
      </c>
      <c r="B136" s="73">
        <v>106.1</v>
      </c>
      <c r="C136" s="53">
        <v>381.2</v>
      </c>
      <c r="D136" s="76">
        <f>0.5+1.3</f>
        <v>1.8</v>
      </c>
      <c r="E136" s="17">
        <f>D136/D107*100</f>
        <v>0.0053890924768269025</v>
      </c>
      <c r="F136" s="6">
        <f t="shared" si="15"/>
        <v>1.6965127238454292</v>
      </c>
      <c r="G136" s="6">
        <f>D136/C136*100</f>
        <v>0.472193074501574</v>
      </c>
      <c r="H136" s="61">
        <f t="shared" si="16"/>
        <v>104.3</v>
      </c>
      <c r="I136" s="61">
        <f t="shared" si="14"/>
        <v>379.4</v>
      </c>
    </row>
    <row r="137" spans="1:9" s="32" customFormat="1" ht="18">
      <c r="A137" s="23" t="s">
        <v>26</v>
      </c>
      <c r="B137" s="74">
        <v>85.3</v>
      </c>
      <c r="C137" s="44">
        <v>306.1</v>
      </c>
      <c r="D137" s="75"/>
      <c r="E137" s="103">
        <f>D137/D136*100</f>
        <v>0</v>
      </c>
      <c r="F137" s="1">
        <f t="shared" si="15"/>
        <v>0</v>
      </c>
      <c r="G137" s="1">
        <f>D137/C137*100</f>
        <v>0</v>
      </c>
      <c r="H137" s="44">
        <f t="shared" si="16"/>
        <v>85.3</v>
      </c>
      <c r="I137" s="44">
        <f t="shared" si="14"/>
        <v>306.1</v>
      </c>
    </row>
    <row r="138" spans="1:9" s="2" customFormat="1" ht="18.75">
      <c r="A138" s="16" t="s">
        <v>104</v>
      </c>
      <c r="B138" s="73">
        <v>237.1</v>
      </c>
      <c r="C138" s="53">
        <v>1397.4</v>
      </c>
      <c r="D138" s="76">
        <f>26+59.9+0.4-0.1+0.1+27.3+5.8</f>
        <v>119.4</v>
      </c>
      <c r="E138" s="17">
        <f>D138/D107*100</f>
        <v>0.35747646762951796</v>
      </c>
      <c r="F138" s="6">
        <f t="shared" si="15"/>
        <v>50.35849852382961</v>
      </c>
      <c r="G138" s="6">
        <f t="shared" si="12"/>
        <v>8.54443967367969</v>
      </c>
      <c r="H138" s="61">
        <f t="shared" si="16"/>
        <v>117.69999999999999</v>
      </c>
      <c r="I138" s="61">
        <f t="shared" si="14"/>
        <v>1278</v>
      </c>
    </row>
    <row r="139" spans="1:9" s="32" customFormat="1" ht="18">
      <c r="A139" s="33" t="s">
        <v>44</v>
      </c>
      <c r="B139" s="74">
        <v>170.8</v>
      </c>
      <c r="C139" s="44">
        <v>1063.5</v>
      </c>
      <c r="D139" s="75">
        <f>26+59.9+27.3</f>
        <v>113.2</v>
      </c>
      <c r="E139" s="1">
        <f>D139/D138*100</f>
        <v>94.80737018425461</v>
      </c>
      <c r="F139" s="1">
        <f aca="true" t="shared" si="17" ref="F139:F147">D139/B139*100</f>
        <v>66.27634660421545</v>
      </c>
      <c r="G139" s="1">
        <f t="shared" si="12"/>
        <v>10.64409967089798</v>
      </c>
      <c r="H139" s="44">
        <f t="shared" si="16"/>
        <v>57.60000000000001</v>
      </c>
      <c r="I139" s="44">
        <f t="shared" si="14"/>
        <v>950.3</v>
      </c>
    </row>
    <row r="140" spans="1:9" s="32" customFormat="1" ht="18">
      <c r="A140" s="23" t="s">
        <v>26</v>
      </c>
      <c r="B140" s="74">
        <v>15.1</v>
      </c>
      <c r="C140" s="44">
        <v>37.5</v>
      </c>
      <c r="D140" s="75">
        <f>0.4+5.6</f>
        <v>6</v>
      </c>
      <c r="E140" s="1">
        <f>D140/D138*100</f>
        <v>5.025125628140703</v>
      </c>
      <c r="F140" s="1">
        <f t="shared" si="17"/>
        <v>39.735099337748345</v>
      </c>
      <c r="G140" s="1">
        <f>D140/C140*100</f>
        <v>16</v>
      </c>
      <c r="H140" s="44">
        <f t="shared" si="16"/>
        <v>9.1</v>
      </c>
      <c r="I140" s="44">
        <f t="shared" si="14"/>
        <v>31.5</v>
      </c>
    </row>
    <row r="141" spans="1:9" s="2" customFormat="1" ht="56.25" hidden="1">
      <c r="A141" s="18" t="s">
        <v>89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100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105</v>
      </c>
      <c r="B143" s="73">
        <f>11200.8+150-870</f>
        <v>10480.8</v>
      </c>
      <c r="C143" s="53">
        <f>67967+150</f>
        <v>68117</v>
      </c>
      <c r="D143" s="76">
        <f>2189.1+2579.7+68.9+525.7+232.8+205.1+14+182+44.6+100.3+189.9</f>
        <v>6332.099999999999</v>
      </c>
      <c r="E143" s="17">
        <f>D143/D107*100</f>
        <v>18.957929151397572</v>
      </c>
      <c r="F143" s="99">
        <f t="shared" si="17"/>
        <v>60.41618960384704</v>
      </c>
      <c r="G143" s="6">
        <f t="shared" si="12"/>
        <v>9.295917318731007</v>
      </c>
      <c r="H143" s="61">
        <f t="shared" si="16"/>
        <v>4148.7</v>
      </c>
      <c r="I143" s="61">
        <f t="shared" si="14"/>
        <v>61784.9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106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79</v>
      </c>
      <c r="B146" s="73">
        <v>2031.4</v>
      </c>
      <c r="C146" s="53">
        <v>10550.8</v>
      </c>
      <c r="D146" s="76">
        <f>1601.8</f>
        <v>1601.8</v>
      </c>
      <c r="E146" s="17">
        <f>D146/D107*100</f>
        <v>4.795693516322963</v>
      </c>
      <c r="F146" s="99">
        <f t="shared" si="17"/>
        <v>78.85202323520724</v>
      </c>
      <c r="G146" s="6">
        <f t="shared" si="12"/>
        <v>15.181787163058727</v>
      </c>
      <c r="H146" s="61">
        <f t="shared" si="16"/>
        <v>429.60000000000014</v>
      </c>
      <c r="I146" s="61">
        <f t="shared" si="14"/>
        <v>8949</v>
      </c>
      <c r="K146" s="38"/>
      <c r="L146" s="38"/>
    </row>
    <row r="147" spans="1:12" s="2" customFormat="1" ht="19.5" customHeight="1">
      <c r="A147" s="16" t="s">
        <v>51</v>
      </c>
      <c r="B147" s="73">
        <f>24393.6-1000</f>
        <v>23393.6</v>
      </c>
      <c r="C147" s="53">
        <f>376354.8-1000</f>
        <v>375354.8</v>
      </c>
      <c r="D147" s="76">
        <f>4905.7+9487.9</f>
        <v>14393.599999999999</v>
      </c>
      <c r="E147" s="17">
        <f>D147/D107*100</f>
        <v>43.09357859691983</v>
      </c>
      <c r="F147" s="6">
        <f t="shared" si="17"/>
        <v>61.52793926544011</v>
      </c>
      <c r="G147" s="6">
        <f t="shared" si="12"/>
        <v>3.8346652287382494</v>
      </c>
      <c r="H147" s="61">
        <f t="shared" si="16"/>
        <v>9000</v>
      </c>
      <c r="I147" s="61">
        <f t="shared" si="14"/>
        <v>360961.2</v>
      </c>
      <c r="K147" s="91"/>
      <c r="L147" s="38"/>
    </row>
    <row r="148" spans="1:12" s="2" customFormat="1" ht="18.75">
      <c r="A148" s="16" t="s">
        <v>107</v>
      </c>
      <c r="B148" s="73">
        <v>4914.2</v>
      </c>
      <c r="C148" s="53">
        <v>29485.2</v>
      </c>
      <c r="D148" s="76">
        <f>819+819+819.1+819+819</f>
        <v>4095.1</v>
      </c>
      <c r="E148" s="17">
        <f>D148/D107*100</f>
        <v>12.260484778807694</v>
      </c>
      <c r="F148" s="6">
        <f t="shared" si="15"/>
        <v>83.3319767205242</v>
      </c>
      <c r="G148" s="6">
        <f t="shared" si="12"/>
        <v>13.888662786754033</v>
      </c>
      <c r="H148" s="61">
        <f t="shared" si="16"/>
        <v>819.0999999999999</v>
      </c>
      <c r="I148" s="61">
        <f t="shared" si="14"/>
        <v>25390.100000000002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55140.599999999984</v>
      </c>
      <c r="C149" s="77">
        <f>C43+C69+C72+C77+C79+C87+C102+C107+C100+C84+C98</f>
        <v>555248</v>
      </c>
      <c r="D149" s="53">
        <f>D43+D69+D72+D77+D79+D87+D102+D107+D100+D84+D98</f>
        <v>34723.49999999999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295301.5</v>
      </c>
      <c r="C150" s="47">
        <f>C6+C18+C33+C43+C51+C59+C69+C72+C77+C79+C87+C90+C95+C102+C107+C100+C84+C98+C45</f>
        <v>1838965.0999999999</v>
      </c>
      <c r="D150" s="47">
        <f>D6+D18+D33+D43+D51+D59+D69+D72+D77+D79+D87+D90+D95+D102+D107+D100+D84+D98+D45</f>
        <v>182528.9</v>
      </c>
      <c r="E150" s="31">
        <v>100</v>
      </c>
      <c r="F150" s="3">
        <f>D150/B150*100</f>
        <v>61.81103042145062</v>
      </c>
      <c r="G150" s="3">
        <f aca="true" t="shared" si="18" ref="G150:G156">D150/C150*100</f>
        <v>9.925631541348992</v>
      </c>
      <c r="H150" s="47">
        <f aca="true" t="shared" si="19" ref="H150:H156">B150-D150</f>
        <v>112772.6</v>
      </c>
      <c r="I150" s="47">
        <f aca="true" t="shared" si="20" ref="I150:I156">C150-D150</f>
        <v>1656436.2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116305.50000000001</v>
      </c>
      <c r="C151" s="60">
        <f>C8+C20+C34+C52+C60+C91+C115+C119+C46+C139+C131+C103</f>
        <v>722894.7</v>
      </c>
      <c r="D151" s="60">
        <f>D8+D20+D34+D52+D60+D91+D115+D119+D46+D139+D131+D103</f>
        <v>83284</v>
      </c>
      <c r="E151" s="6">
        <f>D151/D150*100</f>
        <v>45.62784304293731</v>
      </c>
      <c r="F151" s="6">
        <f aca="true" t="shared" si="21" ref="F151:F156">D151/B151*100</f>
        <v>71.60796350989419</v>
      </c>
      <c r="G151" s="6">
        <f t="shared" si="18"/>
        <v>11.520903390217137</v>
      </c>
      <c r="H151" s="61">
        <f t="shared" si="19"/>
        <v>33021.500000000015</v>
      </c>
      <c r="I151" s="72">
        <f t="shared" si="20"/>
        <v>639610.7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35087.7</v>
      </c>
      <c r="C152" s="61">
        <f>C11+C23+C36+C55+C62+C92+C49+C140+C109+C112+C96+C137</f>
        <v>102336.00000000003</v>
      </c>
      <c r="D152" s="61">
        <f>D11+D23+D36+D55+D62+D92+D49+D140+D109+D112+D96+D137</f>
        <v>9445.300000000001</v>
      </c>
      <c r="E152" s="6">
        <f>D152/D150*100</f>
        <v>5.174687405665624</v>
      </c>
      <c r="F152" s="6">
        <f t="shared" si="21"/>
        <v>26.9191198055159</v>
      </c>
      <c r="G152" s="6">
        <f t="shared" si="18"/>
        <v>9.229694340212632</v>
      </c>
      <c r="H152" s="61">
        <f t="shared" si="19"/>
        <v>25642.399999999994</v>
      </c>
      <c r="I152" s="72">
        <f t="shared" si="20"/>
        <v>92890.70000000003</v>
      </c>
      <c r="K152" s="39"/>
      <c r="L152" s="90"/>
    </row>
    <row r="153" spans="1:12" ht="18.75">
      <c r="A153" s="18" t="s">
        <v>1</v>
      </c>
      <c r="B153" s="60">
        <f>B22+B10+B54+B48+B61+B35+B123</f>
        <v>5458.599999999999</v>
      </c>
      <c r="C153" s="60">
        <f>C22+C10+C54+C48+C61+C35+C123</f>
        <v>28682.2</v>
      </c>
      <c r="D153" s="60">
        <f>D22+D10+D54+D48+D61+D35+D123</f>
        <v>3172.2000000000003</v>
      </c>
      <c r="E153" s="6">
        <f>D153/D150*100</f>
        <v>1.7379165710197126</v>
      </c>
      <c r="F153" s="6">
        <f t="shared" si="21"/>
        <v>58.11380207379182</v>
      </c>
      <c r="G153" s="6">
        <f t="shared" si="18"/>
        <v>11.059821073697277</v>
      </c>
      <c r="H153" s="61">
        <f t="shared" si="19"/>
        <v>2286.399999999999</v>
      </c>
      <c r="I153" s="72">
        <f t="shared" si="20"/>
        <v>25510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4698.2</v>
      </c>
      <c r="C154" s="60">
        <f>C12+C24+C104+C63+C38+C93+C129+C56</f>
        <v>29184.599999999995</v>
      </c>
      <c r="D154" s="60">
        <f>D12+D24+D104+D63+D38+D93+D129+D56</f>
        <v>2860.4</v>
      </c>
      <c r="E154" s="6">
        <f>D154/D150*100</f>
        <v>1.5670943067097869</v>
      </c>
      <c r="F154" s="6">
        <f t="shared" si="21"/>
        <v>60.882891320080034</v>
      </c>
      <c r="G154" s="6">
        <f t="shared" si="18"/>
        <v>9.801059462867405</v>
      </c>
      <c r="H154" s="61">
        <f t="shared" si="19"/>
        <v>1837.7999999999997</v>
      </c>
      <c r="I154" s="72">
        <f t="shared" si="20"/>
        <v>26324.199999999993</v>
      </c>
      <c r="K154" s="39"/>
      <c r="L154" s="90"/>
    </row>
    <row r="155" spans="1:12" ht="18.75">
      <c r="A155" s="18" t="s">
        <v>2</v>
      </c>
      <c r="B155" s="60">
        <f>B9+B21+B47+B53+B122</f>
        <v>6</v>
      </c>
      <c r="C155" s="60">
        <f>C9+C21+C47+C53+C122</f>
        <v>186.9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6</v>
      </c>
      <c r="I155" s="72">
        <f t="shared" si="20"/>
        <v>186.9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133745.49999999997</v>
      </c>
      <c r="C156" s="78">
        <f>C150-C151-C152-C153-C154-C155</f>
        <v>955680.7</v>
      </c>
      <c r="D156" s="78">
        <f>D150-D151-D152-D153-D154-D155</f>
        <v>83767</v>
      </c>
      <c r="E156" s="36">
        <f>D156/D150*100</f>
        <v>45.89245867366757</v>
      </c>
      <c r="F156" s="36">
        <f t="shared" si="21"/>
        <v>62.63163994302613</v>
      </c>
      <c r="G156" s="36">
        <f t="shared" si="18"/>
        <v>8.765166022501031</v>
      </c>
      <c r="H156" s="127">
        <f t="shared" si="19"/>
        <v>49978.49999999997</v>
      </c>
      <c r="I156" s="127">
        <f t="shared" si="20"/>
        <v>871913.7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1838965.0999999999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182528.9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1838965.0999999999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182528.9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2017-02-10T12:40:09Z</cp:lastPrinted>
  <dcterms:created xsi:type="dcterms:W3CDTF">2000-06-20T04:48:00Z</dcterms:created>
  <dcterms:modified xsi:type="dcterms:W3CDTF">2017-02-24T06:03:03Z</dcterms:modified>
  <cp:category/>
  <cp:version/>
  <cp:contentType/>
  <cp:contentStatus/>
</cp:coreProperties>
</file>